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HA MTSU\Finances\"/>
    </mc:Choice>
  </mc:AlternateContent>
  <xr:revisionPtr revIDLastSave="0" documentId="8_{7A4C8682-4E7E-4B9B-AE77-ABA91F3F1DB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Budget vs. Actuals" sheetId="1" r:id="rId1"/>
  </sheets>
  <calcPr calcId="191029"/>
</workbook>
</file>

<file path=xl/calcChain.xml><?xml version="1.0" encoding="utf-8"?>
<calcChain xmlns="http://schemas.openxmlformats.org/spreadsheetml/2006/main">
  <c r="C93" i="1" l="1"/>
  <c r="C92" i="1"/>
  <c r="B91" i="1"/>
  <c r="B90" i="1"/>
  <c r="C86" i="1"/>
  <c r="B86" i="1"/>
  <c r="C84" i="1"/>
  <c r="B84" i="1"/>
  <c r="C83" i="1"/>
  <c r="B83" i="1"/>
  <c r="C82" i="1"/>
  <c r="B82" i="1"/>
  <c r="C81" i="1"/>
  <c r="C80" i="1"/>
  <c r="B80" i="1"/>
  <c r="B85" i="1" s="1"/>
  <c r="B78" i="1"/>
  <c r="C76" i="1"/>
  <c r="B76" i="1"/>
  <c r="C75" i="1"/>
  <c r="B75" i="1"/>
  <c r="C74" i="1"/>
  <c r="B74" i="1"/>
  <c r="C72" i="1"/>
  <c r="B72" i="1"/>
  <c r="B71" i="1"/>
  <c r="C69" i="1"/>
  <c r="B69" i="1"/>
  <c r="C68" i="1"/>
  <c r="B68" i="1"/>
  <c r="C67" i="1"/>
  <c r="B67" i="1"/>
  <c r="B70" i="1" s="1"/>
  <c r="C64" i="1"/>
  <c r="B64" i="1"/>
  <c r="C63" i="1"/>
  <c r="B63" i="1"/>
  <c r="C62" i="1"/>
  <c r="B62" i="1"/>
  <c r="C61" i="1"/>
  <c r="B61" i="1"/>
  <c r="B65" i="1" s="1"/>
  <c r="B60" i="1"/>
  <c r="B59" i="1"/>
  <c r="C57" i="1"/>
  <c r="B57" i="1"/>
  <c r="C56" i="1"/>
  <c r="B56" i="1"/>
  <c r="C55" i="1"/>
  <c r="B55" i="1"/>
  <c r="C54" i="1"/>
  <c r="B54" i="1"/>
  <c r="C53" i="1"/>
  <c r="B53" i="1"/>
  <c r="C52" i="1"/>
  <c r="B52" i="1"/>
  <c r="B51" i="1"/>
  <c r="C49" i="1"/>
  <c r="B49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B40" i="1"/>
  <c r="C39" i="1"/>
  <c r="B39" i="1"/>
  <c r="C38" i="1"/>
  <c r="B38" i="1"/>
  <c r="B37" i="1"/>
  <c r="C36" i="1"/>
  <c r="B36" i="1"/>
  <c r="C35" i="1"/>
  <c r="C30" i="1"/>
  <c r="B29" i="1"/>
  <c r="B28" i="1"/>
  <c r="B27" i="1"/>
  <c r="C25" i="1"/>
  <c r="B25" i="1"/>
  <c r="C24" i="1"/>
  <c r="C26" i="1" s="1"/>
  <c r="B24" i="1"/>
  <c r="B26" i="1" s="1"/>
  <c r="C22" i="1"/>
  <c r="B22" i="1"/>
  <c r="C21" i="1"/>
  <c r="B21" i="1"/>
  <c r="C20" i="1"/>
  <c r="B20" i="1"/>
  <c r="C19" i="1"/>
  <c r="B19" i="1"/>
  <c r="C18" i="1"/>
  <c r="B18" i="1"/>
  <c r="B17" i="1"/>
  <c r="C16" i="1"/>
  <c r="B16" i="1"/>
  <c r="B15" i="1"/>
  <c r="B14" i="1"/>
  <c r="C13" i="1"/>
  <c r="C14" i="1" s="1"/>
  <c r="B11" i="1"/>
  <c r="C10" i="1"/>
  <c r="B10" i="1"/>
  <c r="C9" i="1"/>
  <c r="B9" i="1"/>
  <c r="B8" i="1"/>
  <c r="B58" i="1" l="1"/>
  <c r="C85" i="1"/>
  <c r="C58" i="1"/>
  <c r="C31" i="1"/>
  <c r="B31" i="1"/>
  <c r="B48" i="1"/>
  <c r="C65" i="1"/>
  <c r="C48" i="1"/>
  <c r="C70" i="1"/>
  <c r="B77" i="1"/>
  <c r="C77" i="1"/>
  <c r="B92" i="1"/>
  <c r="C32" i="1" l="1"/>
  <c r="B32" i="1"/>
  <c r="C87" i="1"/>
  <c r="B93" i="1"/>
  <c r="B87" i="1"/>
  <c r="B88" i="1" l="1"/>
  <c r="C88" i="1"/>
  <c r="C94" i="1" l="1"/>
  <c r="B94" i="1"/>
</calcChain>
</file>

<file path=xl/sharedStrings.xml><?xml version="1.0" encoding="utf-8"?>
<sst xmlns="http://schemas.openxmlformats.org/spreadsheetml/2006/main" count="95" uniqueCount="95">
  <si>
    <t>Total</t>
  </si>
  <si>
    <t>Actual</t>
  </si>
  <si>
    <t>Budget</t>
  </si>
  <si>
    <t>Revenue</t>
  </si>
  <si>
    <t xml:space="preserve">   Annual Meeting Cash Deposit</t>
  </si>
  <si>
    <t xml:space="preserve">   Annual Meeting Registration Items</t>
  </si>
  <si>
    <t xml:space="preserve">   Annual Meeting Sponsorships/ad/exhibits</t>
  </si>
  <si>
    <t xml:space="preserve">   Bank Refunds</t>
  </si>
  <si>
    <t xml:space="preserve">   Contributed</t>
  </si>
  <si>
    <t xml:space="preserve">      Individual Donations</t>
  </si>
  <si>
    <t xml:space="preserve">   Total Contributed</t>
  </si>
  <si>
    <t xml:space="preserve">   Cuba Trip Revenue</t>
  </si>
  <si>
    <t xml:space="preserve">   Endowment Annual Allocation</t>
  </si>
  <si>
    <t xml:space="preserve">   Executive Office Travel Reimbursments</t>
  </si>
  <si>
    <t xml:space="preserve">   Interest Earned</t>
  </si>
  <si>
    <t xml:space="preserve">   Membership</t>
  </si>
  <si>
    <t xml:space="preserve">   Oxford Contract Scholarships/Grants</t>
  </si>
  <si>
    <t xml:space="preserve">   Oxford Univ Press Agreement</t>
  </si>
  <si>
    <t xml:space="preserve">   Partner Membership</t>
  </si>
  <si>
    <t xml:space="preserve">   Publication Sales and Royalties</t>
  </si>
  <si>
    <t xml:space="preserve">      Publications</t>
  </si>
  <si>
    <t xml:space="preserve">      Royalties</t>
  </si>
  <si>
    <t xml:space="preserve">   Total Publication Sales and Royalties</t>
  </si>
  <si>
    <t xml:space="preserve">   Refunds Revenue</t>
  </si>
  <si>
    <t xml:space="preserve">   Scholarships</t>
  </si>
  <si>
    <t xml:space="preserve">   Uncategorized Revenue</t>
  </si>
  <si>
    <t xml:space="preserve">   Workshops</t>
  </si>
  <si>
    <t>Total Revenue</t>
  </si>
  <si>
    <t>Gross Profit</t>
  </si>
  <si>
    <t>Expenditures</t>
  </si>
  <si>
    <t xml:space="preserve">   Administration</t>
  </si>
  <si>
    <t xml:space="preserve">      Coffee Networking Initiatives</t>
  </si>
  <si>
    <t xml:space="preserve">      Credit Card Processing Fees and Bank Charges</t>
  </si>
  <si>
    <t xml:space="preserve">      Cuba Trip Expenditures</t>
  </si>
  <si>
    <t xml:space="preserve">      Executive office discretionary fund</t>
  </si>
  <si>
    <t xml:space="preserve">      Executive Office Salaries and Benefits</t>
  </si>
  <si>
    <t xml:space="preserve">      ExecutiveOffice Travel</t>
  </si>
  <si>
    <t xml:space="preserve">      History Day Fund</t>
  </si>
  <si>
    <t xml:space="preserve">      Phone and Office Supplies</t>
  </si>
  <si>
    <t xml:space="preserve">      Regional Oral History Organizations Fund</t>
  </si>
  <si>
    <t xml:space="preserve">      Software Annual Fees</t>
  </si>
  <si>
    <t xml:space="preserve">      Strategic Planning</t>
  </si>
  <si>
    <t xml:space="preserve">      Webinar Initiatives</t>
  </si>
  <si>
    <t xml:space="preserve">      Website/Marketing</t>
  </si>
  <si>
    <t xml:space="preserve">   Total Administration</t>
  </si>
  <si>
    <t xml:space="preserve">   Advocacy</t>
  </si>
  <si>
    <t xml:space="preserve">   Annual Meeting</t>
  </si>
  <si>
    <t xml:space="preserve">      Annual Meeting Cash Expenditures</t>
  </si>
  <si>
    <t xml:space="preserve">      Annual Meeting Transportation</t>
  </si>
  <si>
    <t xml:space="preserve">      Audio Visual/ Facilities</t>
  </si>
  <si>
    <t xml:space="preserve">      Food and Beverage</t>
  </si>
  <si>
    <t xml:space="preserve">      Presidential Reception</t>
  </si>
  <si>
    <t xml:space="preserve">      Printing/Registration Supplies</t>
  </si>
  <si>
    <t xml:space="preserve">      Speakers/Workshop Leaders</t>
  </si>
  <si>
    <t xml:space="preserve">   Total Annual Meeting</t>
  </si>
  <si>
    <t xml:space="preserve">   Awards</t>
  </si>
  <si>
    <t xml:space="preserve">   Council/Leadership Expenses</t>
  </si>
  <si>
    <t xml:space="preserve">      Annual Meeting</t>
  </si>
  <si>
    <t xml:space="preserve">      Mid-Winter Meeting</t>
  </si>
  <si>
    <t xml:space="preserve">      President and VP Travel</t>
  </si>
  <si>
    <t xml:space="preserve">      Treasurer's Stipend</t>
  </si>
  <si>
    <t xml:space="preserve">   Total Council/Leadership Expenses</t>
  </si>
  <si>
    <t xml:space="preserve">   Dues and Professional Fees</t>
  </si>
  <si>
    <t xml:space="preserve">      Insurance</t>
  </si>
  <si>
    <t xml:space="preserve">      Membership Dues</t>
  </si>
  <si>
    <t xml:space="preserve">      Tax Prep and Audit</t>
  </si>
  <si>
    <t xml:space="preserve">   Total Dues and Professional Fees</t>
  </si>
  <si>
    <t xml:space="preserve">   Legal &amp; Professional Fees</t>
  </si>
  <si>
    <t xml:space="preserve">   Membership Payment to Oxford</t>
  </si>
  <si>
    <t xml:space="preserve">   Publications</t>
  </si>
  <si>
    <t xml:space="preserve">      Newsletter</t>
  </si>
  <si>
    <t xml:space="preserve">      Oral History Review</t>
  </si>
  <si>
    <t xml:space="preserve">      Print and Digital Support</t>
  </si>
  <si>
    <t xml:space="preserve">   Total Publications</t>
  </si>
  <si>
    <t xml:space="preserve">   Refunds Expenditures</t>
  </si>
  <si>
    <t xml:space="preserve">   Scholarships and Grants</t>
  </si>
  <si>
    <t xml:space="preserve">      Diversity Committee Allocation</t>
  </si>
  <si>
    <t xml:space="preserve">      Emerging Crises Grant</t>
  </si>
  <si>
    <t xml:space="preserve">      International Scholarships</t>
  </si>
  <si>
    <t xml:space="preserve">      Non-presenter Scholarship</t>
  </si>
  <si>
    <t xml:space="preserve">      Presenter Scholarship</t>
  </si>
  <si>
    <t xml:space="preserve">   Total Scholarships and Grants</t>
  </si>
  <si>
    <t xml:space="preserve">   VHP Workshop Leaders Fees</t>
  </si>
  <si>
    <t>Total Expenditures</t>
  </si>
  <si>
    <t>Net Operating Revenue</t>
  </si>
  <si>
    <t>Other Revenue</t>
  </si>
  <si>
    <t xml:space="preserve">   Credit Card Rewards Rebates</t>
  </si>
  <si>
    <t xml:space="preserve">   Endowment Restricted Donations</t>
  </si>
  <si>
    <t>Total Other Revenue</t>
  </si>
  <si>
    <t>Net Other Revenue</t>
  </si>
  <si>
    <t>Net Revenue</t>
  </si>
  <si>
    <t>Thursday, Mar 19, 2020 08:39:58 AM GMT-7 - Accrual Basis</t>
  </si>
  <si>
    <t>THE ORAL HISTORY ASSOCIATION</t>
  </si>
  <si>
    <t xml:space="preserve">Budget vs. Actuals: 2019 Annual Budget - FY19 P&amp;L </t>
  </si>
  <si>
    <t>January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</si>
</sst>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"/>
  <sheetViews>
    <sheetView tabSelected="1" topLeftCell="A79" workbookViewId="0">
      <selection activeCell="G28" sqref="G28"/>
    </sheetView>
  </sheetViews>
  <sheetFormatPr defaultRowHeight="15" x14ac:dyDescent="0.25"/>
  <cols>
    <col min="1" max="1" width="43.85546875" customWidth="1"/>
    <col min="2" max="3" width="18" customWidth="1"/>
  </cols>
  <sheetData>
    <row r="1" spans="1:3" ht="18" x14ac:dyDescent="0.25">
      <c r="A1" s="11" t="s">
        <v>92</v>
      </c>
      <c r="B1" s="10"/>
      <c r="C1" s="10"/>
    </row>
    <row r="2" spans="1:3" ht="18" x14ac:dyDescent="0.25">
      <c r="A2" s="11" t="s">
        <v>93</v>
      </c>
      <c r="B2" s="10"/>
      <c r="C2" s="10"/>
    </row>
    <row r="3" spans="1:3" x14ac:dyDescent="0.25">
      <c r="A3" s="12" t="s">
        <v>94</v>
      </c>
      <c r="B3" s="10"/>
      <c r="C3" s="10"/>
    </row>
    <row r="5" spans="1:3" x14ac:dyDescent="0.25">
      <c r="A5" s="1"/>
      <c r="B5" s="8" t="s">
        <v>0</v>
      </c>
      <c r="C5" s="13"/>
    </row>
    <row r="6" spans="1:3" x14ac:dyDescent="0.25">
      <c r="A6" s="1"/>
      <c r="B6" s="2" t="s">
        <v>1</v>
      </c>
      <c r="C6" s="2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5">
        <f>300</f>
        <v>300</v>
      </c>
      <c r="C8" s="4"/>
    </row>
    <row r="9" spans="1:3" x14ac:dyDescent="0.25">
      <c r="A9" s="3" t="s">
        <v>5</v>
      </c>
      <c r="B9" s="5">
        <f>78678.37</f>
        <v>78678.37</v>
      </c>
      <c r="C9" s="5">
        <f>63000</f>
        <v>63000</v>
      </c>
    </row>
    <row r="10" spans="1:3" x14ac:dyDescent="0.25">
      <c r="A10" s="3" t="s">
        <v>6</v>
      </c>
      <c r="B10" s="5">
        <f>28112.6</f>
        <v>28112.6</v>
      </c>
      <c r="C10" s="5">
        <f>17000</f>
        <v>17000</v>
      </c>
    </row>
    <row r="11" spans="1:3" x14ac:dyDescent="0.25">
      <c r="A11" s="3" t="s">
        <v>7</v>
      </c>
      <c r="B11" s="5">
        <f>5037.34</f>
        <v>5037.34</v>
      </c>
      <c r="C11" s="4"/>
    </row>
    <row r="12" spans="1:3" x14ac:dyDescent="0.25">
      <c r="A12" s="3" t="s">
        <v>8</v>
      </c>
      <c r="B12" s="4"/>
      <c r="C12" s="4"/>
    </row>
    <row r="13" spans="1:3" x14ac:dyDescent="0.25">
      <c r="A13" s="3" t="s">
        <v>9</v>
      </c>
      <c r="B13" s="4"/>
      <c r="C13" s="5">
        <f>4635</f>
        <v>4635</v>
      </c>
    </row>
    <row r="14" spans="1:3" x14ac:dyDescent="0.25">
      <c r="A14" s="3" t="s">
        <v>10</v>
      </c>
      <c r="B14" s="6">
        <f>(B12)+(B13)</f>
        <v>0</v>
      </c>
      <c r="C14" s="6">
        <f>(C12)+(C13)</f>
        <v>4635</v>
      </c>
    </row>
    <row r="15" spans="1:3" x14ac:dyDescent="0.25">
      <c r="A15" s="3" t="s">
        <v>11</v>
      </c>
      <c r="B15" s="5">
        <f>52230</f>
        <v>52230</v>
      </c>
      <c r="C15" s="4"/>
    </row>
    <row r="16" spans="1:3" x14ac:dyDescent="0.25">
      <c r="A16" s="3" t="s">
        <v>12</v>
      </c>
      <c r="B16" s="5">
        <f>9784.15</f>
        <v>9784.15</v>
      </c>
      <c r="C16" s="5">
        <f>10000</f>
        <v>10000</v>
      </c>
    </row>
    <row r="17" spans="1:3" x14ac:dyDescent="0.25">
      <c r="A17" s="3" t="s">
        <v>13</v>
      </c>
      <c r="B17" s="5">
        <f>1704.12</f>
        <v>1704.12</v>
      </c>
      <c r="C17" s="4"/>
    </row>
    <row r="18" spans="1:3" x14ac:dyDescent="0.25">
      <c r="A18" s="3" t="s">
        <v>14</v>
      </c>
      <c r="B18" s="5">
        <f>58.63</f>
        <v>58.63</v>
      </c>
      <c r="C18" s="5">
        <f>100</f>
        <v>100</v>
      </c>
    </row>
    <row r="19" spans="1:3" x14ac:dyDescent="0.25">
      <c r="A19" s="3" t="s">
        <v>15</v>
      </c>
      <c r="B19" s="5">
        <f>56654.28</f>
        <v>56654.28</v>
      </c>
      <c r="C19" s="5">
        <f>48000</f>
        <v>48000</v>
      </c>
    </row>
    <row r="20" spans="1:3" x14ac:dyDescent="0.25">
      <c r="A20" s="3" t="s">
        <v>16</v>
      </c>
      <c r="B20" s="5">
        <f>8000</f>
        <v>8000</v>
      </c>
      <c r="C20" s="5">
        <f>8000</f>
        <v>8000</v>
      </c>
    </row>
    <row r="21" spans="1:3" x14ac:dyDescent="0.25">
      <c r="A21" s="3" t="s">
        <v>17</v>
      </c>
      <c r="B21" s="5">
        <f>44741</f>
        <v>44741</v>
      </c>
      <c r="C21" s="5">
        <f>47466</f>
        <v>47466</v>
      </c>
    </row>
    <row r="22" spans="1:3" x14ac:dyDescent="0.25">
      <c r="A22" s="3" t="s">
        <v>18</v>
      </c>
      <c r="B22" s="5">
        <f>14850</f>
        <v>14850</v>
      </c>
      <c r="C22" s="5">
        <f>8100</f>
        <v>8100</v>
      </c>
    </row>
    <row r="23" spans="1:3" x14ac:dyDescent="0.25">
      <c r="A23" s="3" t="s">
        <v>19</v>
      </c>
      <c r="B23" s="4"/>
      <c r="C23" s="4"/>
    </row>
    <row r="24" spans="1:3" x14ac:dyDescent="0.25">
      <c r="A24" s="3" t="s">
        <v>20</v>
      </c>
      <c r="B24" s="5">
        <f>1059.55</f>
        <v>1059.55</v>
      </c>
      <c r="C24" s="5">
        <f>1000</f>
        <v>1000</v>
      </c>
    </row>
    <row r="25" spans="1:3" x14ac:dyDescent="0.25">
      <c r="A25" s="3" t="s">
        <v>21</v>
      </c>
      <c r="B25" s="5">
        <f>384.83</f>
        <v>384.83</v>
      </c>
      <c r="C25" s="5">
        <f>2200</f>
        <v>2200</v>
      </c>
    </row>
    <row r="26" spans="1:3" x14ac:dyDescent="0.25">
      <c r="A26" s="3" t="s">
        <v>22</v>
      </c>
      <c r="B26" s="6">
        <f>((B23)+(B24))+(B25)</f>
        <v>1444.3799999999999</v>
      </c>
      <c r="C26" s="6">
        <f>((C23)+(C24))+(C25)</f>
        <v>3200</v>
      </c>
    </row>
    <row r="27" spans="1:3" x14ac:dyDescent="0.25">
      <c r="A27" s="3" t="s">
        <v>23</v>
      </c>
      <c r="B27" s="5">
        <f>910.95</f>
        <v>910.95</v>
      </c>
      <c r="C27" s="4"/>
    </row>
    <row r="28" spans="1:3" x14ac:dyDescent="0.25">
      <c r="A28" s="3" t="s">
        <v>24</v>
      </c>
      <c r="B28" s="5">
        <f>1500</f>
        <v>1500</v>
      </c>
      <c r="C28" s="4"/>
    </row>
    <row r="29" spans="1:3" x14ac:dyDescent="0.25">
      <c r="A29" s="3" t="s">
        <v>25</v>
      </c>
      <c r="B29" s="5">
        <f>500</f>
        <v>500</v>
      </c>
      <c r="C29" s="4"/>
    </row>
    <row r="30" spans="1:3" x14ac:dyDescent="0.25">
      <c r="A30" s="3" t="s">
        <v>26</v>
      </c>
      <c r="B30" s="4">
        <v>4883.7700000000004</v>
      </c>
      <c r="C30" s="5">
        <f>10500</f>
        <v>10500</v>
      </c>
    </row>
    <row r="31" spans="1:3" x14ac:dyDescent="0.25">
      <c r="A31" s="3" t="s">
        <v>27</v>
      </c>
      <c r="B31" s="6">
        <f>(((((((((((((((((B8)+(B9))+(B10))+(B11))+(B14))+(B15))+(B16))+(B17))+(B18))+(B19))+(B20))+(B21))+(B22))+(B26))+(B27))+(B28))+(B29))+(B30)</f>
        <v>309389.59000000003</v>
      </c>
      <c r="C31" s="6">
        <f>(((((((((((((((((C8)+(C9))+(C10))+(C11))+(C14))+(C15))+(C16))+(C17))+(C18))+(C19))+(C20))+(C21))+(C22))+(C26))+(C27))+(C28))+(C29))+(C30)</f>
        <v>220001</v>
      </c>
    </row>
    <row r="32" spans="1:3" x14ac:dyDescent="0.25">
      <c r="A32" s="3" t="s">
        <v>28</v>
      </c>
      <c r="B32" s="6">
        <f>(B31)-(0)</f>
        <v>309389.59000000003</v>
      </c>
      <c r="C32" s="6">
        <f>(C31)-(0)</f>
        <v>220001</v>
      </c>
    </row>
    <row r="33" spans="1:3" x14ac:dyDescent="0.25">
      <c r="A33" s="3" t="s">
        <v>29</v>
      </c>
      <c r="B33" s="4"/>
      <c r="C33" s="4"/>
    </row>
    <row r="34" spans="1:3" x14ac:dyDescent="0.25">
      <c r="A34" s="3" t="s">
        <v>30</v>
      </c>
      <c r="B34" s="4"/>
      <c r="C34" s="4"/>
    </row>
    <row r="35" spans="1:3" x14ac:dyDescent="0.25">
      <c r="A35" s="3" t="s">
        <v>31</v>
      </c>
      <c r="B35" s="4"/>
      <c r="C35" s="5">
        <f>250</f>
        <v>250</v>
      </c>
    </row>
    <row r="36" spans="1:3" x14ac:dyDescent="0.25">
      <c r="A36" s="3" t="s">
        <v>32</v>
      </c>
      <c r="B36" s="5">
        <f>11603.04</f>
        <v>11603.04</v>
      </c>
      <c r="C36" s="5">
        <f>8000</f>
        <v>8000</v>
      </c>
    </row>
    <row r="37" spans="1:3" x14ac:dyDescent="0.25">
      <c r="A37" s="3" t="s">
        <v>33</v>
      </c>
      <c r="B37" s="5">
        <f>47130</f>
        <v>47130</v>
      </c>
      <c r="C37" s="4"/>
    </row>
    <row r="38" spans="1:3" x14ac:dyDescent="0.25">
      <c r="A38" s="3" t="s">
        <v>34</v>
      </c>
      <c r="B38" s="5">
        <f>1570.4</f>
        <v>1570.4</v>
      </c>
      <c r="C38" s="5">
        <f>1500</f>
        <v>1500</v>
      </c>
    </row>
    <row r="39" spans="1:3" x14ac:dyDescent="0.25">
      <c r="A39" s="3" t="s">
        <v>35</v>
      </c>
      <c r="B39" s="5">
        <f>51746.96</f>
        <v>51746.96</v>
      </c>
      <c r="C39" s="5">
        <f>50775</f>
        <v>50775</v>
      </c>
    </row>
    <row r="40" spans="1:3" x14ac:dyDescent="0.25">
      <c r="A40" s="3" t="s">
        <v>36</v>
      </c>
      <c r="B40" s="5">
        <f>1704.12</f>
        <v>1704.12</v>
      </c>
      <c r="C40" s="4"/>
    </row>
    <row r="41" spans="1:3" x14ac:dyDescent="0.25">
      <c r="A41" s="3" t="s">
        <v>37</v>
      </c>
      <c r="B41" s="5">
        <f>100</f>
        <v>100</v>
      </c>
      <c r="C41" s="5">
        <f>250</f>
        <v>250</v>
      </c>
    </row>
    <row r="42" spans="1:3" x14ac:dyDescent="0.25">
      <c r="A42" s="3" t="s">
        <v>38</v>
      </c>
      <c r="B42" s="5">
        <f>683.52</f>
        <v>683.52</v>
      </c>
      <c r="C42" s="5">
        <f>500</f>
        <v>500</v>
      </c>
    </row>
    <row r="43" spans="1:3" x14ac:dyDescent="0.25">
      <c r="A43" s="3" t="s">
        <v>39</v>
      </c>
      <c r="B43" s="5">
        <f>750</f>
        <v>750</v>
      </c>
      <c r="C43" s="5">
        <f>750</f>
        <v>750</v>
      </c>
    </row>
    <row r="44" spans="1:3" x14ac:dyDescent="0.25">
      <c r="A44" s="3" t="s">
        <v>40</v>
      </c>
      <c r="B44" s="5">
        <f>7405.36</f>
        <v>7405.36</v>
      </c>
      <c r="C44" s="5">
        <f>9640</f>
        <v>9640</v>
      </c>
    </row>
    <row r="45" spans="1:3" x14ac:dyDescent="0.25">
      <c r="A45" s="3" t="s">
        <v>41</v>
      </c>
      <c r="B45" s="5">
        <f>9784.15</f>
        <v>9784.15</v>
      </c>
      <c r="C45" s="5">
        <f>10000</f>
        <v>10000</v>
      </c>
    </row>
    <row r="46" spans="1:3" x14ac:dyDescent="0.25">
      <c r="A46" s="3" t="s">
        <v>42</v>
      </c>
      <c r="B46" s="5">
        <f>2423.55</f>
        <v>2423.5500000000002</v>
      </c>
      <c r="C46" s="5">
        <f>1500</f>
        <v>1500</v>
      </c>
    </row>
    <row r="47" spans="1:3" x14ac:dyDescent="0.25">
      <c r="A47" s="3" t="s">
        <v>43</v>
      </c>
      <c r="B47" s="5">
        <f>1203.55</f>
        <v>1203.55</v>
      </c>
      <c r="C47" s="5">
        <f>500</f>
        <v>500</v>
      </c>
    </row>
    <row r="48" spans="1:3" x14ac:dyDescent="0.25">
      <c r="A48" s="3" t="s">
        <v>44</v>
      </c>
      <c r="B48" s="6">
        <f>(((((((((((((B34)+(B35))+(B36))+(B37))+(B38))+(B39))+(B40))+(B41))+(B42))+(B43))+(B44))+(B45))+(B46))+(B47)</f>
        <v>136104.64999999997</v>
      </c>
      <c r="C48" s="6">
        <f>(((((((((((((C34)+(C35))+(C36))+(C37))+(C38))+(C39))+(C40))+(C41))+(C42))+(C43))+(C44))+(C45))+(C46))+(C47)</f>
        <v>83665</v>
      </c>
    </row>
    <row r="49" spans="1:3" x14ac:dyDescent="0.25">
      <c r="A49" s="3" t="s">
        <v>45</v>
      </c>
      <c r="B49" s="5">
        <f>3000</f>
        <v>3000</v>
      </c>
      <c r="C49" s="5">
        <f>1850</f>
        <v>1850</v>
      </c>
    </row>
    <row r="50" spans="1:3" x14ac:dyDescent="0.25">
      <c r="A50" s="3" t="s">
        <v>46</v>
      </c>
      <c r="B50" s="4"/>
      <c r="C50" s="4"/>
    </row>
    <row r="51" spans="1:3" x14ac:dyDescent="0.25">
      <c r="A51" s="3" t="s">
        <v>47</v>
      </c>
      <c r="B51" s="5">
        <f>300</f>
        <v>300</v>
      </c>
      <c r="C51" s="4"/>
    </row>
    <row r="52" spans="1:3" x14ac:dyDescent="0.25">
      <c r="A52" s="3" t="s">
        <v>48</v>
      </c>
      <c r="B52" s="5">
        <f>4015.91</f>
        <v>4015.91</v>
      </c>
      <c r="C52" s="5">
        <f>3730</f>
        <v>3730</v>
      </c>
    </row>
    <row r="53" spans="1:3" x14ac:dyDescent="0.25">
      <c r="A53" s="3" t="s">
        <v>49</v>
      </c>
      <c r="B53" s="5">
        <f>16387.35</f>
        <v>16387.349999999999</v>
      </c>
      <c r="C53" s="5">
        <f>18500</f>
        <v>18500</v>
      </c>
    </row>
    <row r="54" spans="1:3" x14ac:dyDescent="0.25">
      <c r="A54" s="3" t="s">
        <v>50</v>
      </c>
      <c r="B54" s="5">
        <f>26791.15</f>
        <v>26791.15</v>
      </c>
      <c r="C54" s="5">
        <f>21973</f>
        <v>21973</v>
      </c>
    </row>
    <row r="55" spans="1:3" x14ac:dyDescent="0.25">
      <c r="A55" s="3" t="s">
        <v>51</v>
      </c>
      <c r="B55" s="5">
        <f>10087.24</f>
        <v>10087.24</v>
      </c>
      <c r="C55" s="5">
        <f>10000</f>
        <v>10000</v>
      </c>
    </row>
    <row r="56" spans="1:3" x14ac:dyDescent="0.25">
      <c r="A56" s="3" t="s">
        <v>52</v>
      </c>
      <c r="B56" s="5">
        <f>4025.34</f>
        <v>4025.34</v>
      </c>
      <c r="C56" s="5">
        <f>7500</f>
        <v>7500</v>
      </c>
    </row>
    <row r="57" spans="1:3" x14ac:dyDescent="0.25">
      <c r="A57" s="3" t="s">
        <v>53</v>
      </c>
      <c r="B57" s="5">
        <f>13597.07</f>
        <v>13597.07</v>
      </c>
      <c r="C57" s="5">
        <f>18000</f>
        <v>18000</v>
      </c>
    </row>
    <row r="58" spans="1:3" x14ac:dyDescent="0.25">
      <c r="A58" s="3" t="s">
        <v>54</v>
      </c>
      <c r="B58" s="6">
        <f>(((((((B50)+(B51))+(B52))+(B53))+(B54))+(B55))+(B56))+(B57)</f>
        <v>75204.06</v>
      </c>
      <c r="C58" s="6">
        <f>(((((((C50)+(C51))+(C52))+(C53))+(C54))+(C55))+(C56))+(C57)</f>
        <v>79703</v>
      </c>
    </row>
    <row r="59" spans="1:3" x14ac:dyDescent="0.25">
      <c r="A59" s="3" t="s">
        <v>55</v>
      </c>
      <c r="B59" s="5">
        <f>200</f>
        <v>200</v>
      </c>
      <c r="C59" s="4"/>
    </row>
    <row r="60" spans="1:3" x14ac:dyDescent="0.25">
      <c r="A60" s="3" t="s">
        <v>56</v>
      </c>
      <c r="B60" s="5">
        <f>883.54</f>
        <v>883.54</v>
      </c>
      <c r="C60" s="4"/>
    </row>
    <row r="61" spans="1:3" x14ac:dyDescent="0.25">
      <c r="A61" s="3" t="s">
        <v>57</v>
      </c>
      <c r="B61" s="5">
        <f>6892.3</f>
        <v>6892.3</v>
      </c>
      <c r="C61" s="5">
        <f>5500</f>
        <v>5500</v>
      </c>
    </row>
    <row r="62" spans="1:3" x14ac:dyDescent="0.25">
      <c r="A62" s="3" t="s">
        <v>58</v>
      </c>
      <c r="B62" s="5">
        <f>8075.36</f>
        <v>8075.36</v>
      </c>
      <c r="C62" s="5">
        <f>5500</f>
        <v>5500</v>
      </c>
    </row>
    <row r="63" spans="1:3" x14ac:dyDescent="0.25">
      <c r="A63" s="3" t="s">
        <v>59</v>
      </c>
      <c r="B63" s="5">
        <f>620.48</f>
        <v>620.48</v>
      </c>
      <c r="C63" s="5">
        <f>2000</f>
        <v>2000</v>
      </c>
    </row>
    <row r="64" spans="1:3" x14ac:dyDescent="0.25">
      <c r="A64" s="3" t="s">
        <v>60</v>
      </c>
      <c r="B64" s="5">
        <f>2000</f>
        <v>2000</v>
      </c>
      <c r="C64" s="5">
        <f>2000</f>
        <v>2000</v>
      </c>
    </row>
    <row r="65" spans="1:3" x14ac:dyDescent="0.25">
      <c r="A65" s="3" t="s">
        <v>61</v>
      </c>
      <c r="B65" s="6">
        <f>((((B60)+(B61))+(B62))+(B63))+(B64)</f>
        <v>18471.68</v>
      </c>
      <c r="C65" s="6">
        <f>((((C60)+(C61))+(C62))+(C63))+(C64)</f>
        <v>15000</v>
      </c>
    </row>
    <row r="66" spans="1:3" x14ac:dyDescent="0.25">
      <c r="A66" s="3" t="s">
        <v>62</v>
      </c>
      <c r="B66" s="4"/>
      <c r="C66" s="4"/>
    </row>
    <row r="67" spans="1:3" x14ac:dyDescent="0.25">
      <c r="A67" s="3" t="s">
        <v>63</v>
      </c>
      <c r="B67" s="5">
        <f>2146.77</f>
        <v>2146.77</v>
      </c>
      <c r="C67" s="5">
        <f>3400</f>
        <v>3400</v>
      </c>
    </row>
    <row r="68" spans="1:3" x14ac:dyDescent="0.25">
      <c r="A68" s="3" t="s">
        <v>64</v>
      </c>
      <c r="B68" s="5">
        <f>2240</f>
        <v>2240</v>
      </c>
      <c r="C68" s="5">
        <f>1640</f>
        <v>1640</v>
      </c>
    </row>
    <row r="69" spans="1:3" x14ac:dyDescent="0.25">
      <c r="A69" s="3" t="s">
        <v>65</v>
      </c>
      <c r="B69" s="5">
        <f>5440</f>
        <v>5440</v>
      </c>
      <c r="C69" s="5">
        <f>5300</f>
        <v>5300</v>
      </c>
    </row>
    <row r="70" spans="1:3" x14ac:dyDescent="0.25">
      <c r="A70" s="3" t="s">
        <v>66</v>
      </c>
      <c r="B70" s="6">
        <f>(((B66)+(B67))+(B68))+(B69)</f>
        <v>9826.77</v>
      </c>
      <c r="C70" s="6">
        <f>(((C66)+(C67))+(C68))+(C69)</f>
        <v>10340</v>
      </c>
    </row>
    <row r="71" spans="1:3" x14ac:dyDescent="0.25">
      <c r="A71" s="3" t="s">
        <v>67</v>
      </c>
      <c r="B71" s="5">
        <f>493</f>
        <v>493</v>
      </c>
      <c r="C71" s="4"/>
    </row>
    <row r="72" spans="1:3" x14ac:dyDescent="0.25">
      <c r="A72" s="3" t="s">
        <v>68</v>
      </c>
      <c r="B72" s="5">
        <f>23755</f>
        <v>23755</v>
      </c>
      <c r="C72" s="5">
        <f>29725</f>
        <v>29725</v>
      </c>
    </row>
    <row r="73" spans="1:3" x14ac:dyDescent="0.25">
      <c r="A73" s="3" t="s">
        <v>69</v>
      </c>
      <c r="B73" s="4"/>
      <c r="C73" s="4"/>
    </row>
    <row r="74" spans="1:3" x14ac:dyDescent="0.25">
      <c r="A74" s="3" t="s">
        <v>70</v>
      </c>
      <c r="B74" s="5">
        <f>3520.77</f>
        <v>3520.77</v>
      </c>
      <c r="C74" s="5">
        <f>4000</f>
        <v>4000</v>
      </c>
    </row>
    <row r="75" spans="1:3" x14ac:dyDescent="0.25">
      <c r="A75" s="3" t="s">
        <v>71</v>
      </c>
      <c r="B75" s="5">
        <f>12350</f>
        <v>12350</v>
      </c>
      <c r="C75" s="5">
        <f>12350</f>
        <v>12350</v>
      </c>
    </row>
    <row r="76" spans="1:3" x14ac:dyDescent="0.25">
      <c r="A76" s="3" t="s">
        <v>72</v>
      </c>
      <c r="B76" s="5">
        <f>12</f>
        <v>12</v>
      </c>
      <c r="C76" s="5">
        <f>1000</f>
        <v>1000</v>
      </c>
    </row>
    <row r="77" spans="1:3" x14ac:dyDescent="0.25">
      <c r="A77" s="3" t="s">
        <v>73</v>
      </c>
      <c r="B77" s="6">
        <f>(((B73)+(B74))+(B75))+(B76)</f>
        <v>15882.77</v>
      </c>
      <c r="C77" s="6">
        <f>(((C73)+(C74))+(C75))+(C76)</f>
        <v>17350</v>
      </c>
    </row>
    <row r="78" spans="1:3" x14ac:dyDescent="0.25">
      <c r="A78" s="3" t="s">
        <v>74</v>
      </c>
      <c r="B78" s="5">
        <f>2960.3</f>
        <v>2960.3</v>
      </c>
      <c r="C78" s="4"/>
    </row>
    <row r="79" spans="1:3" x14ac:dyDescent="0.25">
      <c r="A79" s="3" t="s">
        <v>75</v>
      </c>
      <c r="B79" s="4"/>
      <c r="C79" s="4"/>
    </row>
    <row r="80" spans="1:3" x14ac:dyDescent="0.25">
      <c r="A80" s="3" t="s">
        <v>76</v>
      </c>
      <c r="B80" s="5">
        <f>5000</f>
        <v>5000</v>
      </c>
      <c r="C80" s="5">
        <f>4635</f>
        <v>4635</v>
      </c>
    </row>
    <row r="81" spans="1:3" x14ac:dyDescent="0.25">
      <c r="A81" s="3" t="s">
        <v>77</v>
      </c>
      <c r="B81" s="4">
        <v>4000</v>
      </c>
      <c r="C81" s="5">
        <f>4000</f>
        <v>4000</v>
      </c>
    </row>
    <row r="82" spans="1:3" x14ac:dyDescent="0.25">
      <c r="A82" s="3" t="s">
        <v>78</v>
      </c>
      <c r="B82" s="5">
        <f>3394</f>
        <v>3394</v>
      </c>
      <c r="C82" s="5">
        <f>5000</f>
        <v>5000</v>
      </c>
    </row>
    <row r="83" spans="1:3" x14ac:dyDescent="0.25">
      <c r="A83" s="3" t="s">
        <v>79</v>
      </c>
      <c r="B83" s="5">
        <f>1000</f>
        <v>1000</v>
      </c>
      <c r="C83" s="5">
        <f>1500</f>
        <v>1500</v>
      </c>
    </row>
    <row r="84" spans="1:3" x14ac:dyDescent="0.25">
      <c r="A84" s="3" t="s">
        <v>80</v>
      </c>
      <c r="B84" s="5">
        <f>4395</f>
        <v>4395</v>
      </c>
      <c r="C84" s="5">
        <f>5000</f>
        <v>5000</v>
      </c>
    </row>
    <row r="85" spans="1:3" x14ac:dyDescent="0.25">
      <c r="A85" s="3" t="s">
        <v>81</v>
      </c>
      <c r="B85" s="6">
        <f>(((((B79)+(B80))+(B81))+(B82))+(B83))+(B84)</f>
        <v>17789</v>
      </c>
      <c r="C85" s="6">
        <f>(((((C79)+(C80))+(C81))+(C82))+(C83))+(C84)</f>
        <v>20135</v>
      </c>
    </row>
    <row r="86" spans="1:3" x14ac:dyDescent="0.25">
      <c r="A86" s="3" t="s">
        <v>82</v>
      </c>
      <c r="B86" s="5">
        <f>3333.77</f>
        <v>3333.77</v>
      </c>
      <c r="C86" s="5">
        <f>8000</f>
        <v>8000</v>
      </c>
    </row>
    <row r="87" spans="1:3" x14ac:dyDescent="0.25">
      <c r="A87" s="3" t="s">
        <v>83</v>
      </c>
      <c r="B87" s="6">
        <f>(((((((((((B48)+(B49))+(B58))+(B59))+(B65))+(B70))+(B71))+(B72))+(B77))+(B78))+(B85))+(B86)</f>
        <v>307020.99999999994</v>
      </c>
      <c r="C87" s="6">
        <f>(((((((((((C48)+(C49))+(C58))+(C59))+(C65))+(C70))+(C71))+(C72))+(C77))+(C78))+(C85))+(C86)</f>
        <v>265768</v>
      </c>
    </row>
    <row r="88" spans="1:3" x14ac:dyDescent="0.25">
      <c r="A88" s="3" t="s">
        <v>84</v>
      </c>
      <c r="B88" s="6">
        <f>(B32)-(B87)</f>
        <v>2368.5900000000838</v>
      </c>
      <c r="C88" s="6">
        <f>(C32)-(C87)</f>
        <v>-45767</v>
      </c>
    </row>
    <row r="89" spans="1:3" x14ac:dyDescent="0.25">
      <c r="A89" s="3" t="s">
        <v>85</v>
      </c>
      <c r="B89" s="4"/>
      <c r="C89" s="4"/>
    </row>
    <row r="90" spans="1:3" x14ac:dyDescent="0.25">
      <c r="A90" s="3" t="s">
        <v>86</v>
      </c>
      <c r="B90" s="5">
        <f>281.92</f>
        <v>281.92</v>
      </c>
      <c r="C90" s="4"/>
    </row>
    <row r="91" spans="1:3" x14ac:dyDescent="0.25">
      <c r="A91" s="3" t="s">
        <v>87</v>
      </c>
      <c r="B91" s="5">
        <f>11171.08</f>
        <v>11171.08</v>
      </c>
      <c r="C91" s="4"/>
    </row>
    <row r="92" spans="1:3" x14ac:dyDescent="0.25">
      <c r="A92" s="3" t="s">
        <v>88</v>
      </c>
      <c r="B92" s="6">
        <f>(B90)+(B91)</f>
        <v>11453</v>
      </c>
      <c r="C92" s="6">
        <f>(C90)+(C91)</f>
        <v>0</v>
      </c>
    </row>
    <row r="93" spans="1:3" x14ac:dyDescent="0.25">
      <c r="A93" s="3" t="s">
        <v>89</v>
      </c>
      <c r="B93" s="6">
        <f>(B92)-(0)</f>
        <v>11453</v>
      </c>
      <c r="C93" s="6">
        <f>(C92)-(0)</f>
        <v>0</v>
      </c>
    </row>
    <row r="94" spans="1:3" x14ac:dyDescent="0.25">
      <c r="A94" s="3" t="s">
        <v>90</v>
      </c>
      <c r="B94" s="7">
        <f>(B88)+(B93)</f>
        <v>13821.590000000084</v>
      </c>
      <c r="C94" s="7">
        <f>(C88)+(C93)</f>
        <v>-45767</v>
      </c>
    </row>
    <row r="95" spans="1:3" x14ac:dyDescent="0.25">
      <c r="A95" s="3"/>
      <c r="B95" s="4"/>
      <c r="C95" s="4"/>
    </row>
    <row r="98" spans="1:3" x14ac:dyDescent="0.25">
      <c r="A98" s="9" t="s">
        <v>91</v>
      </c>
      <c r="B98" s="10"/>
      <c r="C98" s="10"/>
    </row>
  </sheetData>
  <mergeCells count="5">
    <mergeCell ref="B5:C5"/>
    <mergeCell ref="A98:C98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Kristine Mccusker</cp:lastModifiedBy>
  <dcterms:created xsi:type="dcterms:W3CDTF">2020-03-19T15:39:58Z</dcterms:created>
  <dcterms:modified xsi:type="dcterms:W3CDTF">2020-03-19T20:48:34Z</dcterms:modified>
</cp:coreProperties>
</file>